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4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<sst xmlns="http://schemas.openxmlformats.org/spreadsheetml/2006/main" count="166" uniqueCount="113">
  <si>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</si>
  <si>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</si>
  <si>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</si>
  <si>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</si>
  <si>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</si>
  <si>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</si>
  <si>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</si>
  <si>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</si>
  <si>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</si>
  <si>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</si>
  <si>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</si>
  <si>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</si>
  <si>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</si>
  <si>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</si>
  <si>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</si>
  <si>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</si>
  <si>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</si>
  <si>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</si>
  <si>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</si>
  <si>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</si>
  <si>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</si>
  <si>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</si>
  <si>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</si>
  <si>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</si>
  <si>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</si>
  <si>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</si>
  <si>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</si>
  <si>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</si>
  <si>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</si>
  <si>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</si>
  <si>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</si>
  <si>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</si>
  <si>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</si>
  <si>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</si>
  <si>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</si>
  <si>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</si>
  <si>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</si>
  <si>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</si>
  <si>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</si>
  <si>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</si>
  <si>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</si>
  <si>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</si>
  <si>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</si>
  <si>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</si>
  <si>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</si>
  <si>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</si>
  <si>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</si>
  <si>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</si>
  <si>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</si>
  <si>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</si>
  <si>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</si>
  <si>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</si>
  <si>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</si>
  <si>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</si>
  <si>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</si>
  <si>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</si>
  <si>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</si>
  <si>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</si>
  <si>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</si>
  <si>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</si>
  <si>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</si>
  <si>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</si>
  <si>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</si>
  <si>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</si>
  <si>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</si>
  <si>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</si>
  <si>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</si>
  <si>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</si>
  <si>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</si>
  <si>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</si>
  <si>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</si>
  <si>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</si>
  <si>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</si>
  <si>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</si>
  <si>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</si>
  <si>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</si>
  <si>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</si>
  <si>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</si>
  <si>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</si>
  <si>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</si>
  <si>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</si>
  <si>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</si>
  <si>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</si>
  <si>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</si>
  <si>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</si>
  <si>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</si>
  <si>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</si>
  <si>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</si>
  <si>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</si>
  <si>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</si>
  <si>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</si>
  <si>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</si>
  <si>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</si>
  <si>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</si>
  <si>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</si>
  <si>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</si>
  <si>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</si>
  <si>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</si>
  <si>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</si>
  <si>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</si>
  <si>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</si>
  <si>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</si>
  <si>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</si>
  <si>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</si>
  <si>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</si>
  <si>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</si>
  <si>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</si>
  <si>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</si>
  <si>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</si>
  <si>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</si>
  <si>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</si>
  <si>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</si>
  <si>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27.06.2018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</si>
</sst>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104694.69999999997</c:v>
                </c:pt>
                <c:pt idx="1">
                  <c:v>100089.60999999997</c:v>
                </c:pt>
                <c:pt idx="2">
                  <c:v>1266.4</c:v>
                </c:pt>
                <c:pt idx="3">
                  <c:v>3338.6899999999964</c:v>
                </c:pt>
              </c:numCache>
            </c:numRef>
          </c:val>
          <c:shape val="box"/>
        </c:ser>
        <c:shape val="box"/>
        <c:axId val="10311025"/>
        <c:axId val="40372086"/>
      </c:bar3DChart>
      <c:catAx>
        <c:axId val="10311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72086"/>
        <c:crosses val="autoZero"/>
        <c:auto val="1"/>
        <c:lblOffset val="100"/>
        <c:tickLblSkip val="1"/>
        <c:noMultiLvlLbl val="0"/>
      </c:catAx>
      <c:valAx>
        <c:axId val="40372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1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446230.4</c:v>
                </c:pt>
                <c:pt idx="1">
                  <c:v>160368.8</c:v>
                </c:pt>
                <c:pt idx="2">
                  <c:v>367803.7000000001</c:v>
                </c:pt>
                <c:pt idx="3">
                  <c:v>21.3</c:v>
                </c:pt>
                <c:pt idx="4">
                  <c:v>14993.699999999995</c:v>
                </c:pt>
                <c:pt idx="5">
                  <c:v>50853.599999999984</c:v>
                </c:pt>
                <c:pt idx="6">
                  <c:v>6467.5999999999985</c:v>
                </c:pt>
                <c:pt idx="7">
                  <c:v>6090.499999999913</c:v>
                </c:pt>
              </c:numCache>
            </c:numRef>
          </c:val>
          <c:shape val="box"/>
        </c:ser>
        <c:shape val="box"/>
        <c:axId val="34210511"/>
        <c:axId val="11715020"/>
      </c:bar3DChart>
      <c:catAx>
        <c:axId val="3421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15020"/>
        <c:crosses val="autoZero"/>
        <c:auto val="1"/>
        <c:lblOffset val="100"/>
        <c:tickLblSkip val="1"/>
        <c:noMultiLvlLbl val="0"/>
      </c:catAx>
      <c:valAx>
        <c:axId val="1171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10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204629.09999999998</c:v>
                </c:pt>
                <c:pt idx="1">
                  <c:v>132645.3</c:v>
                </c:pt>
                <c:pt idx="2">
                  <c:v>204629.09999999998</c:v>
                </c:pt>
              </c:numCache>
            </c:numRef>
          </c:val>
          <c:shape val="box"/>
        </c:ser>
        <c:shape val="box"/>
        <c:axId val="3030013"/>
        <c:axId val="7744306"/>
      </c:bar3DChart>
      <c:catAx>
        <c:axId val="303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44306"/>
        <c:crosses val="autoZero"/>
        <c:auto val="1"/>
        <c:lblOffset val="100"/>
        <c:tickLblSkip val="1"/>
        <c:noMultiLvlLbl val="0"/>
      </c:catAx>
      <c:valAx>
        <c:axId val="7744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0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10921.699999999999</c:v>
                </c:pt>
                <c:pt idx="1">
                  <c:v>6119.000000000001</c:v>
                </c:pt>
                <c:pt idx="2">
                  <c:v>59.6</c:v>
                </c:pt>
                <c:pt idx="3">
                  <c:v>978.0999999999999</c:v>
                </c:pt>
                <c:pt idx="4">
                  <c:v>320.4</c:v>
                </c:pt>
                <c:pt idx="5">
                  <c:v>34.2</c:v>
                </c:pt>
                <c:pt idx="6">
                  <c:v>3410.3999999999983</c:v>
                </c:pt>
              </c:numCache>
            </c:numRef>
          </c:val>
          <c:shape val="box"/>
        </c:ser>
        <c:shape val="box"/>
        <c:axId val="64595067"/>
        <c:axId val="27874600"/>
      </c:bar3DChart>
      <c:catAx>
        <c:axId val="6459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74600"/>
        <c:crosses val="autoZero"/>
        <c:auto val="1"/>
        <c:lblOffset val="100"/>
        <c:tickLblSkip val="1"/>
        <c:noMultiLvlLbl val="0"/>
      </c:catAx>
      <c:valAx>
        <c:axId val="27874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5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15373.699999999995</c:v>
                </c:pt>
                <c:pt idx="1">
                  <c:v>9373.6</c:v>
                </c:pt>
                <c:pt idx="3">
                  <c:v>436.8</c:v>
                </c:pt>
                <c:pt idx="4">
                  <c:v>495.10000000000014</c:v>
                </c:pt>
                <c:pt idx="5">
                  <c:v>660</c:v>
                </c:pt>
                <c:pt idx="6">
                  <c:v>4408.199999999994</c:v>
                </c:pt>
              </c:numCache>
            </c:numRef>
          </c:val>
          <c:shape val="box"/>
        </c:ser>
        <c:shape val="box"/>
        <c:axId val="44299209"/>
        <c:axId val="36746542"/>
      </c:bar3DChart>
      <c:catAx>
        <c:axId val="4429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46542"/>
        <c:crosses val="autoZero"/>
        <c:auto val="1"/>
        <c:lblOffset val="100"/>
        <c:tickLblSkip val="2"/>
        <c:noMultiLvlLbl val="0"/>
      </c:catAx>
      <c:valAx>
        <c:axId val="36746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9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2034.7</c:v>
                </c:pt>
                <c:pt idx="1">
                  <c:v>1508.7000000000003</c:v>
                </c:pt>
                <c:pt idx="2">
                  <c:v>127</c:v>
                </c:pt>
                <c:pt idx="3">
                  <c:v>221.89999999999995</c:v>
                </c:pt>
                <c:pt idx="4">
                  <c:v>0</c:v>
                </c:pt>
                <c:pt idx="5">
                  <c:v>177.0999999999998</c:v>
                </c:pt>
              </c:numCache>
            </c:numRef>
          </c:val>
          <c:shape val="box"/>
        </c:ser>
        <c:shape val="box"/>
        <c:axId val="52483431"/>
        <c:axId val="64586948"/>
      </c:bar3DChart>
      <c:catAx>
        <c:axId val="5248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86948"/>
        <c:crosses val="autoZero"/>
        <c:auto val="1"/>
        <c:lblOffset val="100"/>
        <c:tickLblSkip val="1"/>
        <c:noMultiLvlLbl val="0"/>
      </c:catAx>
      <c:valAx>
        <c:axId val="64586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83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18809.700000000004</c:v>
                </c:pt>
              </c:numCache>
            </c:numRef>
          </c:val>
          <c:shape val="box"/>
        </c:ser>
        <c:shape val="box"/>
        <c:axId val="27314389"/>
        <c:axId val="5644650"/>
      </c:bar3DChart>
      <c:catAx>
        <c:axId val="273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4650"/>
        <c:crosses val="autoZero"/>
        <c:auto val="1"/>
        <c:lblOffset val="100"/>
        <c:tickLblSkip val="1"/>
        <c:noMultiLvlLbl val="0"/>
      </c:catAx>
      <c:valAx>
        <c:axId val="5644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14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446230.4</c:v>
                </c:pt>
                <c:pt idx="1">
                  <c:v>204629.09999999998</c:v>
                </c:pt>
                <c:pt idx="2">
                  <c:v>10921.699999999999</c:v>
                </c:pt>
                <c:pt idx="3">
                  <c:v>15373.699999999995</c:v>
                </c:pt>
                <c:pt idx="4">
                  <c:v>2034.7</c:v>
                </c:pt>
                <c:pt idx="5">
                  <c:v>104694.69999999997</c:v>
                </c:pt>
                <c:pt idx="6">
                  <c:v>18809.700000000004</c:v>
                </c:pt>
              </c:numCache>
            </c:numRef>
          </c:val>
          <c:shape val="box"/>
        </c:ser>
        <c:shape val="box"/>
        <c:axId val="53936531"/>
        <c:axId val="30633120"/>
      </c:bar3DChart>
      <c:catAx>
        <c:axId val="53936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33120"/>
        <c:crosses val="autoZero"/>
        <c:auto val="1"/>
        <c:lblOffset val="100"/>
        <c:tickLblSkip val="1"/>
        <c:noMultiLvlLbl val="0"/>
      </c:catAx>
      <c:valAx>
        <c:axId val="30633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36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1083299.1999999993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491905.81000000006</c:v>
                </c:pt>
                <c:pt idx="1">
                  <c:v>60887.39999999998</c:v>
                </c:pt>
                <c:pt idx="2">
                  <c:v>15651.499999999995</c:v>
                </c:pt>
                <c:pt idx="3">
                  <c:v>13621.2</c:v>
                </c:pt>
                <c:pt idx="4">
                  <c:v>21.3</c:v>
                </c:pt>
                <c:pt idx="5">
                  <c:v>422638.78999999986</c:v>
                </c:pt>
              </c:numCache>
            </c:numRef>
          </c:val>
          <c:shape val="box"/>
        </c:ser>
        <c:shape val="box"/>
        <c:axId val="33310497"/>
        <c:axId val="16722918"/>
      </c:bar3DChart>
      <c:catAx>
        <c:axId val="3331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22918"/>
        <c:crosses val="autoZero"/>
        <c:auto val="1"/>
        <c:lblOffset val="100"/>
        <c:tickLblSkip val="1"/>
        <c:noMultiLvlLbl val="0"/>
      </c:catAx>
      <c:valAx>
        <c:axId val="16722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10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109</v>
      </c>
      <c r="C3" s="171" t="s">
        <v>106</v>
      </c>
      <c r="D3" s="171" t="s">
        <v>22</v>
      </c>
      <c r="E3" s="171" t="s">
        <v>21</v>
      </c>
      <c r="F3" s="171" t="s">
        <v>110</v>
      </c>
      <c r="G3" s="171" t="s">
        <v>107</v>
      </c>
      <c r="H3" s="171" t="s">
        <v>111</v>
      </c>
      <c r="I3" s="171" t="s">
        <v>108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10" ht="39" customHeight="1" thickBot="1">
      <c r="A5" s="176"/>
      <c r="B5" s="179"/>
      <c r="C5" s="173"/>
      <c r="D5" s="173"/>
      <c r="E5" s="173"/>
      <c r="F5" s="173"/>
      <c r="G5" s="173"/>
      <c r="H5" s="173"/>
      <c r="I5" s="173"/>
      <c r="J5" s="168"/>
    </row>
    <row r="6" spans="1:11" ht="18.75" thickBot="1">
      <c r="A6" s="20" t="s">
        <v>26</v>
      </c>
      <c r="B6" s="39">
        <f>478344.1+20.8</f>
        <v>478364.89999999997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</f>
        <v>446230.4</v>
      </c>
      <c r="E6" s="3">
        <f>D6/D154*100</f>
        <v>44.41314348389512</v>
      </c>
      <c r="F6" s="3">
        <f>D6/B6*100</f>
        <v>93.28242937556665</v>
      </c>
      <c r="G6" s="3">
        <f aca="true" t="shared" si="0" ref="G6:G43">D6/C6*100</f>
        <v>54.08933319983641</v>
      </c>
      <c r="H6" s="41">
        <f>B6-D6</f>
        <v>32134.49999999994</v>
      </c>
      <c r="I6" s="41">
        <f aca="true" t="shared" si="1" ref="I6:I43">C6-D6</f>
        <v>378757.4</v>
      </c>
      <c r="J6" s="168"/>
      <c r="K6" s="154"/>
    </row>
    <row r="7" spans="1:12" s="95" customFormat="1" ht="18.75">
      <c r="A7" s="141" t="s">
        <v>81</v>
      </c>
      <c r="B7" s="142">
        <v>163866.5</v>
      </c>
      <c r="C7" s="143">
        <v>262517.6</v>
      </c>
      <c r="D7" s="144">
        <f>8282.7+10875.2+9132.6+9963.6+4.3+9215.1+9968.6+9459.9+11450.4+9572.3+23759.4-0.1+3644+36528.9+8511.9</f>
        <v>160368.8</v>
      </c>
      <c r="E7" s="145">
        <f>D7/D6*100</f>
        <v>35.9385644725236</v>
      </c>
      <c r="F7" s="145">
        <f>D7/B7*100</f>
        <v>97.86551857762264</v>
      </c>
      <c r="G7" s="145">
        <f>D7/C7*100</f>
        <v>61.088780333204326</v>
      </c>
      <c r="H7" s="144">
        <f>B7-D7</f>
        <v>3497.7000000000116</v>
      </c>
      <c r="I7" s="144">
        <f t="shared" si="1"/>
        <v>102148.79999999999</v>
      </c>
      <c r="J7" s="169"/>
      <c r="K7" s="154"/>
      <c r="L7" s="140"/>
    </row>
    <row r="8" spans="1:12" s="94" customFormat="1" ht="18">
      <c r="A8" s="103" t="s">
        <v>3</v>
      </c>
      <c r="B8" s="127">
        <f>381419.8+97.3</f>
        <v>381517.1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</f>
        <v>367803.7000000001</v>
      </c>
      <c r="E8" s="107">
        <f>D8/D6*100</f>
        <v>82.42461741737006</v>
      </c>
      <c r="F8" s="107">
        <f>D8/B8*100</f>
        <v>96.40556085166304</v>
      </c>
      <c r="G8" s="107">
        <f t="shared" si="0"/>
        <v>56.09864537929046</v>
      </c>
      <c r="H8" s="105">
        <f>B8-D8</f>
        <v>13713.399999999849</v>
      </c>
      <c r="I8" s="105">
        <f t="shared" si="1"/>
        <v>287833.6999999999</v>
      </c>
      <c r="J8" s="168"/>
      <c r="K8" s="154"/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0.004773318895350921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8"/>
      <c r="K9" s="154"/>
      <c r="L9" s="140"/>
    </row>
    <row r="10" spans="1:12" s="94" customFormat="1" ht="18">
      <c r="A10" s="103" t="s">
        <v>1</v>
      </c>
      <c r="B10" s="127">
        <f>23709.2+12.6</f>
        <v>23721.8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</f>
        <v>14993.699999999995</v>
      </c>
      <c r="E10" s="107">
        <f>D10/D6*100</f>
        <v>3.3600803531090655</v>
      </c>
      <c r="F10" s="107">
        <f aca="true" t="shared" si="3" ref="F10:F41">D10/B10*100</f>
        <v>63.2064177254677</v>
      </c>
      <c r="G10" s="107">
        <f t="shared" si="0"/>
        <v>33.783595003334696</v>
      </c>
      <c r="H10" s="105">
        <f t="shared" si="2"/>
        <v>8728.100000000004</v>
      </c>
      <c r="I10" s="105">
        <f t="shared" si="1"/>
        <v>29387.90000000001</v>
      </c>
      <c r="J10" s="168"/>
      <c r="K10" s="154"/>
      <c r="L10" s="140"/>
    </row>
    <row r="11" spans="1:12" s="94" customFormat="1" ht="18">
      <c r="A11" s="103" t="s">
        <v>0</v>
      </c>
      <c r="B11" s="127">
        <f>52258.5-97.3</f>
        <v>52161.2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</f>
        <v>50853.599999999984</v>
      </c>
      <c r="E11" s="107">
        <f>D11/D6*100</f>
        <v>11.396265247728524</v>
      </c>
      <c r="F11" s="107">
        <f t="shared" si="3"/>
        <v>97.49315583230444</v>
      </c>
      <c r="G11" s="107">
        <f t="shared" si="0"/>
        <v>57.67519087605643</v>
      </c>
      <c r="H11" s="105">
        <f t="shared" si="2"/>
        <v>1307.600000000013</v>
      </c>
      <c r="I11" s="105">
        <f t="shared" si="1"/>
        <v>37318.80000000001</v>
      </c>
      <c r="J11" s="168"/>
      <c r="K11" s="154"/>
      <c r="L11" s="140"/>
    </row>
    <row r="12" spans="1:12" s="94" customFormat="1" ht="18">
      <c r="A12" s="103" t="s">
        <v>14</v>
      </c>
      <c r="B12" s="127">
        <v>6519.6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</f>
        <v>6467.5999999999985</v>
      </c>
      <c r="E12" s="107">
        <f>D12/D6*100</f>
        <v>1.449385788148902</v>
      </c>
      <c r="F12" s="107">
        <f t="shared" si="3"/>
        <v>99.20240505552485</v>
      </c>
      <c r="G12" s="107">
        <f t="shared" si="0"/>
        <v>50.77406186214475</v>
      </c>
      <c r="H12" s="105">
        <f>B12-D12</f>
        <v>52.00000000000182</v>
      </c>
      <c r="I12" s="105">
        <f t="shared" si="1"/>
        <v>6270.4000000000015</v>
      </c>
      <c r="J12" s="168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14414.399999999985</v>
      </c>
      <c r="C13" s="128">
        <f>C6-C8-C9-C10-C11-C12</f>
        <v>23960.70000000001</v>
      </c>
      <c r="D13" s="128">
        <f>D6-D8-D9-D10-D11-D12</f>
        <v>6090.499999999913</v>
      </c>
      <c r="E13" s="107">
        <f>D13/D6*100</f>
        <v>1.3648778747480925</v>
      </c>
      <c r="F13" s="107">
        <f t="shared" si="3"/>
        <v>42.25288600288544</v>
      </c>
      <c r="G13" s="107">
        <f t="shared" si="0"/>
        <v>25.41870646516967</v>
      </c>
      <c r="H13" s="105">
        <f t="shared" si="2"/>
        <v>8323.900000000072</v>
      </c>
      <c r="I13" s="105">
        <f t="shared" si="1"/>
        <v>17870.2000000001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f>211802.5+185.6</f>
        <v>211988.1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</f>
        <v>204629.09999999998</v>
      </c>
      <c r="E18" s="3">
        <f>D18/D154*100</f>
        <v>20.36665717817594</v>
      </c>
      <c r="F18" s="3">
        <f>D18/B18*100</f>
        <v>96.52857872682475</v>
      </c>
      <c r="G18" s="3">
        <f t="shared" si="0"/>
        <v>48.13812406578035</v>
      </c>
      <c r="H18" s="41">
        <f>B18-D18</f>
        <v>7359.000000000029</v>
      </c>
      <c r="I18" s="41">
        <f t="shared" si="1"/>
        <v>220458.3</v>
      </c>
      <c r="J18" s="168"/>
      <c r="K18" s="154"/>
    </row>
    <row r="19" spans="1:13" s="95" customFormat="1" ht="18.75">
      <c r="A19" s="141" t="s">
        <v>82</v>
      </c>
      <c r="B19" s="142">
        <f>132767.8+185.6</f>
        <v>132953.4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</f>
        <v>132645.3</v>
      </c>
      <c r="E19" s="145">
        <f>D19/D18*100</f>
        <v>64.82230533193959</v>
      </c>
      <c r="F19" s="145">
        <f t="shared" si="3"/>
        <v>99.76826467017766</v>
      </c>
      <c r="G19" s="145">
        <f t="shared" si="0"/>
        <v>58.40269036143145</v>
      </c>
      <c r="H19" s="144">
        <f t="shared" si="2"/>
        <v>308.1000000000058</v>
      </c>
      <c r="I19" s="144">
        <f t="shared" si="1"/>
        <v>94476.6</v>
      </c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211988.1</v>
      </c>
      <c r="C25" s="128">
        <f>C18</f>
        <v>425087.39999999997</v>
      </c>
      <c r="D25" s="128">
        <f>D18</f>
        <v>204629.09999999998</v>
      </c>
      <c r="E25" s="107">
        <f>D25/D18*100</f>
        <v>100</v>
      </c>
      <c r="F25" s="107">
        <f t="shared" si="3"/>
        <v>96.52857872682475</v>
      </c>
      <c r="G25" s="107">
        <f t="shared" si="0"/>
        <v>48.13812406578035</v>
      </c>
      <c r="H25" s="105">
        <f t="shared" si="2"/>
        <v>7359.000000000029</v>
      </c>
      <c r="I25" s="105">
        <f t="shared" si="1"/>
        <v>220458.3</v>
      </c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.75" thickBot="1">
      <c r="A33" s="20" t="s">
        <v>17</v>
      </c>
      <c r="B33" s="39">
        <f>12240.8-17.2</f>
        <v>12223.599999999999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</f>
        <v>10921.699999999999</v>
      </c>
      <c r="E33" s="3">
        <f>D33/D154*100</f>
        <v>1.0870326835376012</v>
      </c>
      <c r="F33" s="3">
        <f>D33/B33*100</f>
        <v>89.34929153440885</v>
      </c>
      <c r="G33" s="3">
        <f t="shared" si="0"/>
        <v>44.06061021708172</v>
      </c>
      <c r="H33" s="41">
        <f t="shared" si="2"/>
        <v>1301.8999999999996</v>
      </c>
      <c r="I33" s="41">
        <f t="shared" si="1"/>
        <v>13866.199999999999</v>
      </c>
      <c r="J33" s="167"/>
      <c r="K33" s="154"/>
    </row>
    <row r="34" spans="1:11" s="94" customFormat="1" ht="18">
      <c r="A34" s="103" t="s">
        <v>3</v>
      </c>
      <c r="B34" s="127">
        <v>6385.5</v>
      </c>
      <c r="C34" s="128">
        <v>12906.6</v>
      </c>
      <c r="D34" s="105">
        <f>364.6+548.1+389.3+522.2+63+395+556.7+63+391.3+512.8+63+394.6+664.3+89.8+0.3+456.7+632.3+12</f>
        <v>6119.000000000001</v>
      </c>
      <c r="E34" s="107">
        <f>D34/D33*100</f>
        <v>56.026076526548074</v>
      </c>
      <c r="F34" s="107">
        <f t="shared" si="3"/>
        <v>95.82648187299353</v>
      </c>
      <c r="G34" s="107">
        <f t="shared" si="0"/>
        <v>47.40985232361738</v>
      </c>
      <c r="H34" s="105">
        <f t="shared" si="2"/>
        <v>266.4999999999991</v>
      </c>
      <c r="I34" s="105">
        <f t="shared" si="1"/>
        <v>6787.599999999999</v>
      </c>
      <c r="K34" s="154"/>
    </row>
    <row r="35" spans="1:11" s="94" customFormat="1" ht="18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0.5457025920873125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K35" s="154"/>
    </row>
    <row r="36" spans="1:11" s="94" customFormat="1" ht="18">
      <c r="A36" s="103" t="s">
        <v>0</v>
      </c>
      <c r="B36" s="127">
        <v>1014.6</v>
      </c>
      <c r="C36" s="128">
        <v>1783</v>
      </c>
      <c r="D36" s="105">
        <f>0.3+11.3+141.7+12.6+0.9+12.9+1.3+0.5+169.4+1.1+0.1+0.4+11.3+166.1+3.8+5.1+2.9+0.2+0.5+11.9+319.9+44.3+12.2+0.9-0.2+8.4+29.5+8.6+0.2</f>
        <v>978.0999999999999</v>
      </c>
      <c r="E36" s="107">
        <f>D36/D33*100</f>
        <v>8.955565525513427</v>
      </c>
      <c r="F36" s="107">
        <f t="shared" si="3"/>
        <v>96.40252316183717</v>
      </c>
      <c r="G36" s="107">
        <f t="shared" si="0"/>
        <v>54.856982613572626</v>
      </c>
      <c r="H36" s="105">
        <f t="shared" si="2"/>
        <v>36.500000000000114</v>
      </c>
      <c r="I36" s="105">
        <f t="shared" si="1"/>
        <v>804.9000000000001</v>
      </c>
      <c r="K36" s="154"/>
    </row>
    <row r="37" spans="1:12" s="95" customFormat="1" ht="18.7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44.8+25.1+1.6+0.5+2.7+1+6.3+8.5+2.5+36.6+1.5+4.5+23.6+4.1+106.1+32.6+9.7+2.5+4.3+1.9</f>
        <v>320.4</v>
      </c>
      <c r="E37" s="113">
        <f>D37/D33*100</f>
        <v>2.933609236657297</v>
      </c>
      <c r="F37" s="113">
        <f t="shared" si="3"/>
        <v>96.88539461747807</v>
      </c>
      <c r="G37" s="113">
        <f t="shared" si="0"/>
        <v>31.785714285714285</v>
      </c>
      <c r="H37" s="109">
        <f t="shared" si="2"/>
        <v>10.300000000000011</v>
      </c>
      <c r="I37" s="109">
        <f t="shared" si="1"/>
        <v>687.6</v>
      </c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0.31313806458701493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.75" thickBot="1">
      <c r="A39" s="103" t="s">
        <v>27</v>
      </c>
      <c r="B39" s="127">
        <f>B33-B34-B36-B37-B35-B38</f>
        <v>4398.999999999998</v>
      </c>
      <c r="C39" s="127">
        <f>C33-C34-C36-C37-C35-C38</f>
        <v>8919.699999999997</v>
      </c>
      <c r="D39" s="127">
        <f>D33-D34-D36-D37-D35-D38</f>
        <v>3410.3999999999983</v>
      </c>
      <c r="E39" s="107">
        <f>D39/D33*100</f>
        <v>31.225908054606872</v>
      </c>
      <c r="F39" s="107">
        <f t="shared" si="3"/>
        <v>77.5267106160491</v>
      </c>
      <c r="G39" s="107">
        <f t="shared" si="0"/>
        <v>38.23446976916263</v>
      </c>
      <c r="H39" s="105">
        <f>B39-D39</f>
        <v>988.5999999999999</v>
      </c>
      <c r="I39" s="105">
        <f t="shared" si="1"/>
        <v>5509.299999999999</v>
      </c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9.5" thickBot="1">
      <c r="A43" s="12" t="s">
        <v>16</v>
      </c>
      <c r="B43" s="77">
        <f>1153.7-36</f>
        <v>1117.7</v>
      </c>
      <c r="C43" s="40">
        <f>1126.9+467</f>
        <v>1593.9</v>
      </c>
      <c r="D43" s="41">
        <f>63.9+1.1+0.6+70.8+0.5+48+6.7+2+13.7+10.4+20.2+0.7+37.4+27+181.7+0.2+2.1+7.5</f>
        <v>494.49999999999994</v>
      </c>
      <c r="E43" s="3">
        <f>D43/D154*100</f>
        <v>0.049217398574337684</v>
      </c>
      <c r="F43" s="3">
        <f>D43/B43*100</f>
        <v>44.24264113805135</v>
      </c>
      <c r="G43" s="3">
        <f t="shared" si="0"/>
        <v>31.024531024531022</v>
      </c>
      <c r="H43" s="41">
        <f t="shared" si="2"/>
        <v>623.2</v>
      </c>
      <c r="I43" s="41">
        <f t="shared" si="1"/>
        <v>1099.4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.75" thickBot="1">
      <c r="A45" s="20" t="s">
        <v>44</v>
      </c>
      <c r="B45" s="39">
        <v>6805.3</v>
      </c>
      <c r="C45" s="40">
        <v>13576.3</v>
      </c>
      <c r="D45" s="41">
        <f>237.1+562.8+52.3+349.2+679.9+375.9+891+78.3+327.4+13.5+670.2+386.5+179.9+781.7-0.1+25.5+366.5+16.5+692.2</f>
        <v>6686.299999999999</v>
      </c>
      <c r="E45" s="3">
        <f>D45/D154*100</f>
        <v>0.6654849182762266</v>
      </c>
      <c r="F45" s="3">
        <f>D45/B45*100</f>
        <v>98.25136290832144</v>
      </c>
      <c r="G45" s="3">
        <f aca="true" t="shared" si="5" ref="G45:G76">D45/C45*100</f>
        <v>49.249795599684745</v>
      </c>
      <c r="H45" s="41">
        <f>B45-D45</f>
        <v>119.00000000000091</v>
      </c>
      <c r="I45" s="41">
        <f aca="true" t="shared" si="6" ref="I45:I77">C45-D45</f>
        <v>6890</v>
      </c>
      <c r="J45" s="94"/>
      <c r="K45" s="154"/>
    </row>
    <row r="46" spans="1:11" s="94" customFormat="1" ht="18">
      <c r="A46" s="103" t="s">
        <v>3</v>
      </c>
      <c r="B46" s="127">
        <v>6036.4</v>
      </c>
      <c r="C46" s="128">
        <v>12256.4</v>
      </c>
      <c r="D46" s="105">
        <f>237.1+551.8+334.1+652.5+314.7+746.1+319.2+661.7+342.8+781.7+0.2-0.1+366.5+692.2</f>
        <v>6000.499999999999</v>
      </c>
      <c r="E46" s="107">
        <f>D46/D45*100</f>
        <v>89.74320625757144</v>
      </c>
      <c r="F46" s="107">
        <f aca="true" t="shared" si="7" ref="F46:F74">D46/B46*100</f>
        <v>99.40527466702007</v>
      </c>
      <c r="G46" s="107">
        <f t="shared" si="5"/>
        <v>48.958095362422895</v>
      </c>
      <c r="H46" s="105">
        <f aca="true" t="shared" si="8" ref="H46:H74">B46-D46</f>
        <v>35.900000000000546</v>
      </c>
      <c r="I46" s="105">
        <f t="shared" si="6"/>
        <v>6255.900000000001</v>
      </c>
      <c r="K46" s="154"/>
    </row>
    <row r="47" spans="1:11" s="94" customFormat="1" ht="18">
      <c r="A47" s="103" t="s">
        <v>2</v>
      </c>
      <c r="B47" s="127">
        <v>0.8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4"/>
    </row>
    <row r="48" spans="1:11" s="94" customFormat="1" ht="18">
      <c r="A48" s="103" t="s">
        <v>1</v>
      </c>
      <c r="B48" s="127">
        <v>49</v>
      </c>
      <c r="C48" s="128">
        <v>98.9</v>
      </c>
      <c r="D48" s="105">
        <f>5.7+6.1+6.5+7.7+8.4</f>
        <v>34.4</v>
      </c>
      <c r="E48" s="107">
        <f>D48/D45*100</f>
        <v>0.5144848421398981</v>
      </c>
      <c r="F48" s="107">
        <f t="shared" si="7"/>
        <v>70.20408163265306</v>
      </c>
      <c r="G48" s="107">
        <f t="shared" si="5"/>
        <v>34.78260869565217</v>
      </c>
      <c r="H48" s="105">
        <f t="shared" si="8"/>
        <v>14.600000000000001</v>
      </c>
      <c r="I48" s="105">
        <f t="shared" si="6"/>
        <v>64.5</v>
      </c>
      <c r="K48" s="154"/>
    </row>
    <row r="49" spans="1:11" s="94" customFormat="1" ht="18">
      <c r="A49" s="103" t="s">
        <v>0</v>
      </c>
      <c r="B49" s="127">
        <v>562.4</v>
      </c>
      <c r="C49" s="128">
        <v>879.8</v>
      </c>
      <c r="D49" s="105">
        <f>7.3+51.9+12.7-0.1+54.5+131.2+49.5+2.4+7.9+11.2+178.3+0.4+4.1+0.1</f>
        <v>511.4</v>
      </c>
      <c r="E49" s="107">
        <f>D49/D45*100</f>
        <v>7.648475240416973</v>
      </c>
      <c r="F49" s="107">
        <f t="shared" si="7"/>
        <v>90.93172119487909</v>
      </c>
      <c r="G49" s="107">
        <f t="shared" si="5"/>
        <v>58.126847010684244</v>
      </c>
      <c r="H49" s="105">
        <f t="shared" si="8"/>
        <v>51</v>
      </c>
      <c r="I49" s="105">
        <f t="shared" si="6"/>
        <v>368.4</v>
      </c>
      <c r="K49" s="154"/>
    </row>
    <row r="50" spans="1:11" s="94" customFormat="1" ht="18.75" thickBot="1">
      <c r="A50" s="103" t="s">
        <v>27</v>
      </c>
      <c r="B50" s="128">
        <f>B45-B46-B49-B48-B47</f>
        <v>156.70000000000056</v>
      </c>
      <c r="C50" s="128">
        <f>C45-C46-C49-C48-C47</f>
        <v>339.6999999999997</v>
      </c>
      <c r="D50" s="128">
        <f>D45-D46-D49-D48-D47</f>
        <v>140.0000000000002</v>
      </c>
      <c r="E50" s="107">
        <f>D50/D45*100</f>
        <v>2.093833659871681</v>
      </c>
      <c r="F50" s="107">
        <f t="shared" si="7"/>
        <v>89.342693044033</v>
      </c>
      <c r="G50" s="107">
        <f t="shared" si="5"/>
        <v>41.21283485428329</v>
      </c>
      <c r="H50" s="105">
        <f t="shared" si="8"/>
        <v>16.700000000000358</v>
      </c>
      <c r="I50" s="105">
        <f t="shared" si="6"/>
        <v>199.6999999999995</v>
      </c>
      <c r="K50" s="154"/>
    </row>
    <row r="51" spans="1:11" ht="18.75" thickBot="1">
      <c r="A51" s="20" t="s">
        <v>4</v>
      </c>
      <c r="B51" s="39">
        <v>17581.2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</f>
        <v>15373.699999999995</v>
      </c>
      <c r="E51" s="3">
        <f>D51/D154*100</f>
        <v>1.5301385651411428</v>
      </c>
      <c r="F51" s="3">
        <f>D51/B51*100</f>
        <v>87.44397424521645</v>
      </c>
      <c r="G51" s="3">
        <f t="shared" si="5"/>
        <v>41.37230418144532</v>
      </c>
      <c r="H51" s="41">
        <f>B51-D51</f>
        <v>2207.5000000000055</v>
      </c>
      <c r="I51" s="41">
        <f t="shared" si="6"/>
        <v>21785.700000000004</v>
      </c>
      <c r="J51" s="94"/>
      <c r="K51" s="154"/>
    </row>
    <row r="52" spans="1:11" s="94" customFormat="1" ht="18">
      <c r="A52" s="103" t="s">
        <v>3</v>
      </c>
      <c r="B52" s="127">
        <v>10635</v>
      </c>
      <c r="C52" s="128">
        <v>20097.4</v>
      </c>
      <c r="D52" s="105">
        <f>632.9+34.3+767.3+737.6+710.6+649.6+792.4+1.6+643.1+825.6+650.1+947+1196.1+785.4</f>
        <v>9373.6</v>
      </c>
      <c r="E52" s="107">
        <f>D52/D51*100</f>
        <v>60.971659392338886</v>
      </c>
      <c r="F52" s="107">
        <f t="shared" si="7"/>
        <v>88.13916314057359</v>
      </c>
      <c r="G52" s="107">
        <f t="shared" si="5"/>
        <v>46.64085901658921</v>
      </c>
      <c r="H52" s="105">
        <f t="shared" si="8"/>
        <v>1261.3999999999996</v>
      </c>
      <c r="I52" s="105">
        <f t="shared" si="6"/>
        <v>10723.800000000001</v>
      </c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8">
      <c r="A54" s="103" t="s">
        <v>1</v>
      </c>
      <c r="B54" s="127">
        <v>501</v>
      </c>
      <c r="C54" s="128">
        <v>993.6</v>
      </c>
      <c r="D54" s="105">
        <f>0.2+4.2+9+4.7+9.6+6.3+43.2+2.7+18.4+3.8+23.8+5.3+12.2+43.2+26.7+3.8+22.4+0.4+59.7+30.3+3.3+19.2+7+2.9+21+4.4-0.4+4.8+2.2+3.6+32.5+6.4</f>
        <v>436.8</v>
      </c>
      <c r="E54" s="107">
        <f>D54/D51*100</f>
        <v>2.8412158426403544</v>
      </c>
      <c r="F54" s="107">
        <f t="shared" si="7"/>
        <v>87.18562874251498</v>
      </c>
      <c r="G54" s="107">
        <f t="shared" si="5"/>
        <v>43.96135265700483</v>
      </c>
      <c r="H54" s="105">
        <f t="shared" si="8"/>
        <v>64.19999999999999</v>
      </c>
      <c r="I54" s="105">
        <f t="shared" si="6"/>
        <v>556.8</v>
      </c>
      <c r="K54" s="154"/>
    </row>
    <row r="55" spans="1:11" s="94" customFormat="1" ht="18">
      <c r="A55" s="103" t="s">
        <v>0</v>
      </c>
      <c r="B55" s="127">
        <v>605.6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</f>
        <v>495.10000000000014</v>
      </c>
      <c r="E55" s="107">
        <f>D55/D51*100</f>
        <v>3.2204348985605304</v>
      </c>
      <c r="F55" s="107">
        <f t="shared" si="7"/>
        <v>81.7536327608983</v>
      </c>
      <c r="G55" s="107">
        <f t="shared" si="5"/>
        <v>40.58529387654727</v>
      </c>
      <c r="H55" s="105">
        <f t="shared" si="8"/>
        <v>110.49999999999989</v>
      </c>
      <c r="I55" s="105">
        <f t="shared" si="6"/>
        <v>724.8</v>
      </c>
      <c r="K55" s="154"/>
    </row>
    <row r="56" spans="1:11" s="94" customFormat="1" ht="18">
      <c r="A56" s="103" t="s">
        <v>14</v>
      </c>
      <c r="B56" s="127">
        <v>660</v>
      </c>
      <c r="C56" s="128">
        <v>1320</v>
      </c>
      <c r="D56" s="128">
        <f>110+110+110+110+110+110</f>
        <v>660</v>
      </c>
      <c r="E56" s="107">
        <f>D56/D51*100</f>
        <v>4.293045916077459</v>
      </c>
      <c r="F56" s="107">
        <f>D56/B56*100</f>
        <v>100</v>
      </c>
      <c r="G56" s="107">
        <f>D56/C56*100</f>
        <v>50</v>
      </c>
      <c r="H56" s="105">
        <f t="shared" si="8"/>
        <v>0</v>
      </c>
      <c r="I56" s="105">
        <f t="shared" si="6"/>
        <v>660</v>
      </c>
      <c r="K56" s="154"/>
    </row>
    <row r="57" spans="1:11" s="94" customFormat="1" ht="18.75" thickBot="1">
      <c r="A57" s="103" t="s">
        <v>27</v>
      </c>
      <c r="B57" s="128">
        <f>B51-B52-B55-B54-B53-B56</f>
        <v>5179.6</v>
      </c>
      <c r="C57" s="128">
        <f>C51-C52-C55-C54-C53-C56</f>
        <v>13514.6</v>
      </c>
      <c r="D57" s="128">
        <f>D51-D52-D55-D54-D53-D56</f>
        <v>4408.199999999994</v>
      </c>
      <c r="E57" s="107">
        <f>D57/D51*100</f>
        <v>28.673643950382772</v>
      </c>
      <c r="F57" s="107">
        <f t="shared" si="7"/>
        <v>85.10695806625984</v>
      </c>
      <c r="G57" s="107">
        <f t="shared" si="5"/>
        <v>32.6180575081763</v>
      </c>
      <c r="H57" s="105">
        <f>B57-D57</f>
        <v>771.400000000006</v>
      </c>
      <c r="I57" s="105">
        <f>C57-D57</f>
        <v>9106.400000000005</v>
      </c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.75" thickBot="1">
      <c r="A59" s="20" t="s">
        <v>6</v>
      </c>
      <c r="B59" s="39">
        <f>3979.5+32.4</f>
        <v>4011.9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</f>
        <v>2034.7</v>
      </c>
      <c r="E59" s="3">
        <f>D59/D154*100</f>
        <v>0.2025129239215468</v>
      </c>
      <c r="F59" s="3">
        <f>D59/B59*100</f>
        <v>50.716618061267724</v>
      </c>
      <c r="G59" s="3">
        <f t="shared" si="5"/>
        <v>21.202300814871933</v>
      </c>
      <c r="H59" s="41">
        <f>B59-D59</f>
        <v>1977.2</v>
      </c>
      <c r="I59" s="41">
        <f t="shared" si="6"/>
        <v>7561.900000000001</v>
      </c>
      <c r="J59" s="94"/>
      <c r="K59" s="154"/>
    </row>
    <row r="60" spans="1:11" s="94" customFormat="1" ht="18">
      <c r="A60" s="103" t="s">
        <v>3</v>
      </c>
      <c r="B60" s="127">
        <v>1564.4</v>
      </c>
      <c r="C60" s="128">
        <v>3119.7</v>
      </c>
      <c r="D60" s="105">
        <f>77.7+79.1+76.9+40.5+47.3+155.9+45+29.2+85.8+95.3+38.3+30.7+89.8+79.1+80.7+178.9+50.9+35.4+119.2+73</f>
        <v>1508.7000000000003</v>
      </c>
      <c r="E60" s="107">
        <f>D60/D59*100</f>
        <v>74.14852312380205</v>
      </c>
      <c r="F60" s="107">
        <f t="shared" si="7"/>
        <v>96.439529532089</v>
      </c>
      <c r="G60" s="107">
        <f t="shared" si="5"/>
        <v>48.36041927108377</v>
      </c>
      <c r="H60" s="105">
        <f t="shared" si="8"/>
        <v>55.69999999999982</v>
      </c>
      <c r="I60" s="105">
        <f t="shared" si="6"/>
        <v>1610.9999999999995</v>
      </c>
      <c r="K60" s="154"/>
    </row>
    <row r="61" spans="1:11" s="94" customFormat="1" ht="18">
      <c r="A61" s="103" t="s">
        <v>1</v>
      </c>
      <c r="B61" s="127">
        <f>263.2+32.4</f>
        <v>295.59999999999997</v>
      </c>
      <c r="C61" s="128">
        <f>360.7+32.4</f>
        <v>393.09999999999997</v>
      </c>
      <c r="D61" s="105">
        <v>127</v>
      </c>
      <c r="E61" s="107">
        <f>D61/D59*100</f>
        <v>6.241706394063007</v>
      </c>
      <c r="F61" s="107">
        <f>D61/B61*100</f>
        <v>42.96346414073072</v>
      </c>
      <c r="G61" s="107">
        <f t="shared" si="5"/>
        <v>32.30730094123633</v>
      </c>
      <c r="H61" s="105">
        <f t="shared" si="8"/>
        <v>168.59999999999997</v>
      </c>
      <c r="I61" s="105">
        <f t="shared" si="6"/>
        <v>266.09999999999997</v>
      </c>
      <c r="K61" s="154"/>
    </row>
    <row r="62" spans="1:11" s="94" customFormat="1" ht="18">
      <c r="A62" s="103" t="s">
        <v>0</v>
      </c>
      <c r="B62" s="127">
        <v>239.7</v>
      </c>
      <c r="C62" s="128">
        <v>393.7</v>
      </c>
      <c r="D62" s="105">
        <f>10.9+43.2+13-3+39.2+5.7+50.2+3.5+0.2+29.7+2.5+1.8+22+0.1+0.7+2.1+0.1</f>
        <v>221.89999999999995</v>
      </c>
      <c r="E62" s="107">
        <f>D62/D59*100</f>
        <v>10.905784636555754</v>
      </c>
      <c r="F62" s="107">
        <f t="shared" si="7"/>
        <v>92.5740508969545</v>
      </c>
      <c r="G62" s="107">
        <f t="shared" si="5"/>
        <v>56.36271272542543</v>
      </c>
      <c r="H62" s="105">
        <f t="shared" si="8"/>
        <v>17.80000000000004</v>
      </c>
      <c r="I62" s="105">
        <f t="shared" si="6"/>
        <v>171.80000000000004</v>
      </c>
      <c r="K62" s="154"/>
    </row>
    <row r="63" spans="1:11" s="94" customFormat="1" ht="18">
      <c r="A63" s="103" t="s">
        <v>14</v>
      </c>
      <c r="B63" s="127">
        <v>1633.1</v>
      </c>
      <c r="C63" s="128">
        <v>4866.6</v>
      </c>
      <c r="D63" s="105">
        <v>0</v>
      </c>
      <c r="E63" s="107">
        <f>D63/D59*100</f>
        <v>0</v>
      </c>
      <c r="F63" s="107">
        <f t="shared" si="7"/>
        <v>0</v>
      </c>
      <c r="G63" s="107">
        <f t="shared" si="5"/>
        <v>0</v>
      </c>
      <c r="H63" s="105">
        <f t="shared" si="8"/>
        <v>1633.1</v>
      </c>
      <c r="I63" s="105">
        <f t="shared" si="6"/>
        <v>4866.6</v>
      </c>
      <c r="K63" s="154"/>
    </row>
    <row r="64" spans="1:11" s="94" customFormat="1" ht="18.75" thickBot="1">
      <c r="A64" s="103" t="s">
        <v>27</v>
      </c>
      <c r="B64" s="128">
        <f>B59-B60-B62-B63-B61</f>
        <v>279.1000000000003</v>
      </c>
      <c r="C64" s="128">
        <f>C59-C60-C62-C63-C61</f>
        <v>823.5000000000005</v>
      </c>
      <c r="D64" s="128">
        <f>D59-D60-D62-D63-D61</f>
        <v>177.0999999999998</v>
      </c>
      <c r="E64" s="107">
        <f>D64/D59*100</f>
        <v>8.70398584557919</v>
      </c>
      <c r="F64" s="107">
        <f t="shared" si="7"/>
        <v>63.4539591544248</v>
      </c>
      <c r="G64" s="107">
        <f t="shared" si="5"/>
        <v>21.505768063145076</v>
      </c>
      <c r="H64" s="105">
        <f t="shared" si="8"/>
        <v>102.00000000000051</v>
      </c>
      <c r="I64" s="105">
        <f t="shared" si="6"/>
        <v>646.4000000000007</v>
      </c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.75" thickBot="1">
      <c r="A69" s="20" t="s">
        <v>20</v>
      </c>
      <c r="B69" s="40">
        <f>B70+B71</f>
        <v>295.20000000000005</v>
      </c>
      <c r="C69" s="40">
        <f>C70+C71</f>
        <v>438.8</v>
      </c>
      <c r="D69" s="41">
        <f>D70+D71</f>
        <v>227</v>
      </c>
      <c r="E69" s="30">
        <f>D69/D154*100</f>
        <v>0.022593224421384537</v>
      </c>
      <c r="F69" s="3">
        <f>D69/B69*100</f>
        <v>76.89701897018969</v>
      </c>
      <c r="G69" s="3">
        <f t="shared" si="5"/>
        <v>51.73199635369189</v>
      </c>
      <c r="H69" s="41">
        <f>B69-D69</f>
        <v>68.20000000000005</v>
      </c>
      <c r="I69" s="41">
        <f t="shared" si="6"/>
        <v>211.8</v>
      </c>
      <c r="J69" s="94"/>
      <c r="K69" s="154"/>
    </row>
    <row r="70" spans="1:11" s="94" customFormat="1" ht="18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K70" s="154"/>
    </row>
    <row r="71" spans="1:11" s="94" customFormat="1" ht="18.75" thickBot="1">
      <c r="A71" s="103" t="s">
        <v>9</v>
      </c>
      <c r="B71" s="127">
        <f>106.1-37.9</f>
        <v>68.19999999999999</v>
      </c>
      <c r="C71" s="128">
        <f>293.1-30-14-37.9</f>
        <v>211.20000000000002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68.19999999999999</v>
      </c>
      <c r="I71" s="105">
        <f t="shared" si="6"/>
        <v>211.20000000000002</v>
      </c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9.5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9.5" thickBot="1">
      <c r="A90" s="12" t="s">
        <v>10</v>
      </c>
      <c r="B90" s="46">
        <f>109554.8+50+40</f>
        <v>109644.8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</f>
        <v>104694.69999999997</v>
      </c>
      <c r="E90" s="3">
        <f>D90/D154*100</f>
        <v>10.42022402127545</v>
      </c>
      <c r="F90" s="3">
        <f aca="true" t="shared" si="11" ref="F90:F96">D90/B90*100</f>
        <v>95.48533081368197</v>
      </c>
      <c r="G90" s="3">
        <f t="shared" si="9"/>
        <v>51.61475596126378</v>
      </c>
      <c r="H90" s="41">
        <f aca="true" t="shared" si="12" ref="H90:H96">B90-D90</f>
        <v>4950.100000000035</v>
      </c>
      <c r="I90" s="41">
        <f t="shared" si="10"/>
        <v>98144.00000000004</v>
      </c>
      <c r="J90" s="94"/>
      <c r="K90" s="154"/>
    </row>
    <row r="91" spans="1:11" s="94" customFormat="1" ht="18">
      <c r="A91" s="103" t="s">
        <v>3</v>
      </c>
      <c r="B91" s="127">
        <f>102192.2+45.2+122</f>
        <v>102359.4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</f>
        <v>100089.60999999997</v>
      </c>
      <c r="E91" s="107">
        <f>D91/D90*100</f>
        <v>95.60141057761281</v>
      </c>
      <c r="F91" s="107">
        <f t="shared" si="11"/>
        <v>97.78252901052564</v>
      </c>
      <c r="G91" s="107">
        <f t="shared" si="9"/>
        <v>52.69169316879463</v>
      </c>
      <c r="H91" s="105">
        <f t="shared" si="12"/>
        <v>2269.7900000000227</v>
      </c>
      <c r="I91" s="105">
        <f t="shared" si="10"/>
        <v>89863.69000000002</v>
      </c>
      <c r="K91" s="154"/>
    </row>
    <row r="92" spans="1:11" s="94" customFormat="1" ht="18">
      <c r="A92" s="103" t="s">
        <v>25</v>
      </c>
      <c r="B92" s="127">
        <v>1536.1</v>
      </c>
      <c r="C92" s="128">
        <v>2776.4</v>
      </c>
      <c r="D92" s="105">
        <f>57.2+3.4+167+1.4+0.3+83.4+86.9+53.1+5.3+4.7+17+71.3+284.2+22.2+4.8+1.6+54.8+7+38.2+1.9+190+51.9+21+0.9+36.8+0.1</f>
        <v>1266.4</v>
      </c>
      <c r="E92" s="107">
        <f>D92/D90*100</f>
        <v>1.2096123299460244</v>
      </c>
      <c r="F92" s="107">
        <f t="shared" si="11"/>
        <v>82.44254931319577</v>
      </c>
      <c r="G92" s="107">
        <f t="shared" si="9"/>
        <v>45.61302405993373</v>
      </c>
      <c r="H92" s="105">
        <f t="shared" si="12"/>
        <v>269.6999999999998</v>
      </c>
      <c r="I92" s="105">
        <f t="shared" si="10"/>
        <v>1510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5749.300000000008</v>
      </c>
      <c r="C94" s="128">
        <f>C90-C91-C92-C93</f>
        <v>10109.000000000024</v>
      </c>
      <c r="D94" s="128">
        <f>D90-D91-D92-D93</f>
        <v>3338.6899999999964</v>
      </c>
      <c r="E94" s="107">
        <f>D94/D90*100</f>
        <v>3.1889770924411622</v>
      </c>
      <c r="F94" s="107">
        <f t="shared" si="11"/>
        <v>58.0712434557249</v>
      </c>
      <c r="G94" s="107">
        <f>D94/C94*100</f>
        <v>33.02690671678691</v>
      </c>
      <c r="H94" s="105">
        <f t="shared" si="12"/>
        <v>2410.610000000012</v>
      </c>
      <c r="I94" s="105">
        <f>C94-D94</f>
        <v>6770.310000000027</v>
      </c>
      <c r="K94" s="154"/>
    </row>
    <row r="95" spans="1:11" ht="18.75">
      <c r="A95" s="83" t="s">
        <v>12</v>
      </c>
      <c r="B95" s="92">
        <f>23556.9-312.7-1000-40+6</f>
        <v>22210.2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</f>
        <v>18809.700000000004</v>
      </c>
      <c r="E95" s="82">
        <f>D95/D154*100</f>
        <v>1.8721223497749642</v>
      </c>
      <c r="F95" s="84">
        <f t="shared" si="11"/>
        <v>84.68946700164791</v>
      </c>
      <c r="G95" s="81">
        <f>D95/C95*100</f>
        <v>39.68416722048167</v>
      </c>
      <c r="H95" s="85">
        <f t="shared" si="12"/>
        <v>3400.4999999999964</v>
      </c>
      <c r="I95" s="88">
        <f>C95-D95</f>
        <v>28588.799999999996</v>
      </c>
      <c r="J95" s="94"/>
      <c r="K95" s="154"/>
    </row>
    <row r="96" spans="1:11" s="94" customFormat="1" ht="18.75" thickBot="1">
      <c r="A96" s="130" t="s">
        <v>83</v>
      </c>
      <c r="B96" s="131">
        <f>6483.7+6</f>
        <v>6489.7</v>
      </c>
      <c r="C96" s="132">
        <v>12814.2</v>
      </c>
      <c r="D96" s="133">
        <f>194.6+1234+3.4+0.5+79.6+1026.4+0.7+86.4+939.3+4.2+87.7+624.7+8+489.4+90.3+1.9+597.9+5.5+67.2+2.1+31.9+0.2+90.5</f>
        <v>5666.399999999998</v>
      </c>
      <c r="E96" s="134">
        <f>D96/D95*100</f>
        <v>30.124882374519512</v>
      </c>
      <c r="F96" s="135">
        <f t="shared" si="11"/>
        <v>87.31374331633201</v>
      </c>
      <c r="G96" s="136">
        <f>D96/C96*100</f>
        <v>44.21969377721588</v>
      </c>
      <c r="H96" s="137">
        <f t="shared" si="12"/>
        <v>823.300000000002</v>
      </c>
      <c r="I96" s="126">
        <f>C96-D96</f>
        <v>7147.800000000003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9.5" thickBot="1">
      <c r="A102" s="12" t="s">
        <v>11</v>
      </c>
      <c r="B102" s="91">
        <f>8246.9-50+30.9</f>
        <v>8227.8</v>
      </c>
      <c r="C102" s="71">
        <f>11266.5-91.2+1707.2+14.9</f>
        <v>12897.4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</f>
        <v>6923.799999999999</v>
      </c>
      <c r="E102" s="17">
        <f>D102/D154*100</f>
        <v>0.6891232037391288</v>
      </c>
      <c r="F102" s="17">
        <f>D102/B102*100</f>
        <v>84.15129196139915</v>
      </c>
      <c r="G102" s="17">
        <f aca="true" t="shared" si="14" ref="G102:G152">D102/C102*100</f>
        <v>53.683688185215615</v>
      </c>
      <c r="H102" s="66">
        <f aca="true" t="shared" si="15" ref="H102:H108">B102-D102</f>
        <v>1304</v>
      </c>
      <c r="I102" s="66">
        <f aca="true" t="shared" si="16" ref="I102:I152">C102-D102</f>
        <v>5973.6</v>
      </c>
      <c r="J102" s="95"/>
      <c r="K102" s="154"/>
    </row>
    <row r="103" spans="1:11" s="94" customFormat="1" ht="18.75" customHeight="1">
      <c r="A103" s="103" t="s">
        <v>3</v>
      </c>
      <c r="B103" s="119">
        <v>145.5</v>
      </c>
      <c r="C103" s="120">
        <v>363.8</v>
      </c>
      <c r="D103" s="120">
        <f>31.2+4.8+33.9+5.2</f>
        <v>75.10000000000001</v>
      </c>
      <c r="E103" s="121">
        <f>D103/D102*100</f>
        <v>1.0846644905976488</v>
      </c>
      <c r="F103" s="107">
        <f>D103/B103*100</f>
        <v>51.6151202749141</v>
      </c>
      <c r="G103" s="121">
        <f>D103/C103*100</f>
        <v>20.64321055525014</v>
      </c>
      <c r="H103" s="120">
        <f t="shared" si="15"/>
        <v>70.39999999999999</v>
      </c>
      <c r="I103" s="120">
        <f t="shared" si="16"/>
        <v>288.7</v>
      </c>
      <c r="K103" s="154"/>
    </row>
    <row r="104" spans="1:11" s="94" customFormat="1" ht="18">
      <c r="A104" s="122" t="s">
        <v>48</v>
      </c>
      <c r="B104" s="104">
        <f>7134.4-50+30.9</f>
        <v>7115.299999999999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</f>
        <v>6371.6</v>
      </c>
      <c r="E104" s="107">
        <f>D104/D102*100</f>
        <v>92.0246107628759</v>
      </c>
      <c r="F104" s="107">
        <f aca="true" t="shared" si="17" ref="F104:F152">D104/B104*100</f>
        <v>89.54787570446786</v>
      </c>
      <c r="G104" s="107">
        <f t="shared" si="14"/>
        <v>60.365703458076744</v>
      </c>
      <c r="H104" s="105">
        <f t="shared" si="15"/>
        <v>743.6999999999989</v>
      </c>
      <c r="I104" s="105">
        <f t="shared" si="16"/>
        <v>4183.4</v>
      </c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.75" thickBot="1">
      <c r="A106" s="123" t="s">
        <v>27</v>
      </c>
      <c r="B106" s="124">
        <f>B102-B103-B104</f>
        <v>967</v>
      </c>
      <c r="C106" s="124">
        <f>C102-C103-C104</f>
        <v>1978.6000000000004</v>
      </c>
      <c r="D106" s="124">
        <f>D102-D103-D104</f>
        <v>477.09999999999854</v>
      </c>
      <c r="E106" s="125">
        <f>D106/D102*100</f>
        <v>6.890724746526454</v>
      </c>
      <c r="F106" s="125">
        <f t="shared" si="17"/>
        <v>49.33815925542901</v>
      </c>
      <c r="G106" s="125">
        <f t="shared" si="14"/>
        <v>24.11300919842305</v>
      </c>
      <c r="H106" s="126">
        <f t="shared" si="15"/>
        <v>489.90000000000146</v>
      </c>
      <c r="I106" s="126">
        <f t="shared" si="16"/>
        <v>1501.5000000000018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237570.70000000004</v>
      </c>
      <c r="C107" s="68">
        <f>SUM(C108:C151)-C115-C120+C152-C142-C143-C109-C112-C123-C124-C140-C133-C131-C138-C118</f>
        <v>563472.5999999999</v>
      </c>
      <c r="D107" s="68">
        <f>SUM(D108:D151)-D115-D120+D152-D142-D143-D109-D112-D123-D124-D140-D133-D131-D138-D118</f>
        <v>187700.4</v>
      </c>
      <c r="E107" s="69">
        <f>D107/D154*100</f>
        <v>18.681750049267166</v>
      </c>
      <c r="F107" s="69">
        <f>D107/B107*100</f>
        <v>79.00822786648351</v>
      </c>
      <c r="G107" s="69">
        <f t="shared" si="14"/>
        <v>33.31136243359482</v>
      </c>
      <c r="H107" s="68">
        <f t="shared" si="15"/>
        <v>49870.30000000005</v>
      </c>
      <c r="I107" s="68">
        <f t="shared" si="16"/>
        <v>375772.19999999984</v>
      </c>
      <c r="J107" s="114"/>
      <c r="K107" s="154"/>
      <c r="L107" s="97"/>
    </row>
    <row r="108" spans="1:12" s="94" customFormat="1" ht="37.5">
      <c r="A108" s="98" t="s">
        <v>52</v>
      </c>
      <c r="B108" s="163">
        <v>2257.5</v>
      </c>
      <c r="C108" s="160">
        <v>4459</v>
      </c>
      <c r="D108" s="99">
        <f>17.1+81.1+17.3+60.5+173.3+3.4+2+0.4+29.3+1.7+177.1+0.8+38.8+139.8+0.3+1.9+1.8+6.5+136+91.3+0.1+1.8+1.1+2.4+3.5+2+3.4+72.2+73.1+42.5+21.2+13.2+0.2+17.6-34.7+31.4+109.2+11.6+31.6+1.8+1.8</f>
        <v>1387.3999999999994</v>
      </c>
      <c r="E108" s="100">
        <f>D108/D107*100</f>
        <v>0.7391566560326986</v>
      </c>
      <c r="F108" s="100">
        <f t="shared" si="17"/>
        <v>61.45736434108524</v>
      </c>
      <c r="G108" s="100">
        <f t="shared" si="14"/>
        <v>31.114599686028242</v>
      </c>
      <c r="H108" s="101">
        <f t="shared" si="15"/>
        <v>870.1000000000006</v>
      </c>
      <c r="I108" s="101">
        <f t="shared" si="16"/>
        <v>3071.6000000000004</v>
      </c>
      <c r="K108" s="154"/>
      <c r="L108" s="102"/>
    </row>
    <row r="109" spans="1:12" s="94" customFormat="1" ht="18.75">
      <c r="A109" s="103" t="s">
        <v>25</v>
      </c>
      <c r="B109" s="104">
        <v>1000.3</v>
      </c>
      <c r="C109" s="105">
        <v>1995</v>
      </c>
      <c r="D109" s="106">
        <f>47.8+0.9+59.7+88.3+0.1+59.2+38.8+107.4+24+91.1+38+42.5+2+31.4</f>
        <v>631.2</v>
      </c>
      <c r="E109" s="107">
        <f>D109/D108*100</f>
        <v>45.49517082312241</v>
      </c>
      <c r="F109" s="107">
        <f t="shared" si="17"/>
        <v>63.10106967909628</v>
      </c>
      <c r="G109" s="107">
        <f t="shared" si="14"/>
        <v>31.639097744360907</v>
      </c>
      <c r="H109" s="105">
        <f aca="true" t="shared" si="18" ref="H109:H152">B109-D109</f>
        <v>369.0999999999999</v>
      </c>
      <c r="I109" s="105">
        <f t="shared" si="16"/>
        <v>1363.8</v>
      </c>
      <c r="K109" s="154"/>
      <c r="L109" s="102"/>
    </row>
    <row r="110" spans="1:12" s="94" customFormat="1" ht="34.5" customHeight="1" hidden="1">
      <c r="A110" s="108" t="s">
        <v>78</v>
      </c>
      <c r="B110" s="162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4">
        <v>110.9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110.9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61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4">
        <v>46.7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46.7</v>
      </c>
      <c r="I113" s="101">
        <f t="shared" si="16"/>
        <v>64.3</v>
      </c>
      <c r="K113" s="154"/>
      <c r="L113" s="102"/>
    </row>
    <row r="114" spans="1:12" s="94" customFormat="1" ht="37.5">
      <c r="A114" s="108" t="s">
        <v>38</v>
      </c>
      <c r="B114" s="164">
        <v>1699.7</v>
      </c>
      <c r="C114" s="101">
        <v>3311.5</v>
      </c>
      <c r="D114" s="99">
        <f>136.4+10+40+6.6+6.1+0.2+177.4+10+1.8+25.1+29.4+48.1+8.1+193.1+10+0.1+17.8+8.8+132.4+79.7+12.6+4.3+3.5+212.4+8.1+0.4+10.8+218.3</f>
        <v>1411.5</v>
      </c>
      <c r="E114" s="100">
        <f>D114/D107*100</f>
        <v>0.7519962663904819</v>
      </c>
      <c r="F114" s="100">
        <f t="shared" si="17"/>
        <v>83.04406659998823</v>
      </c>
      <c r="G114" s="100">
        <f t="shared" si="14"/>
        <v>42.624188434244296</v>
      </c>
      <c r="H114" s="101">
        <f t="shared" si="18"/>
        <v>288.20000000000005</v>
      </c>
      <c r="I114" s="101">
        <f t="shared" si="16"/>
        <v>1900</v>
      </c>
      <c r="K114" s="154"/>
      <c r="L114" s="102"/>
    </row>
    <row r="115" spans="1:12" s="94" customFormat="1" ht="18.75" hidden="1">
      <c r="A115" s="112" t="s">
        <v>43</v>
      </c>
      <c r="B115" s="161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2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4">
        <v>159</v>
      </c>
      <c r="C117" s="101">
        <v>200</v>
      </c>
      <c r="D117" s="99">
        <f>15+40</f>
        <v>55</v>
      </c>
      <c r="E117" s="100">
        <f>D117/D107*100</f>
        <v>0.029302015339338648</v>
      </c>
      <c r="F117" s="100">
        <f>D117/B117*100</f>
        <v>34.59119496855346</v>
      </c>
      <c r="G117" s="100">
        <f t="shared" si="14"/>
        <v>27.500000000000004</v>
      </c>
      <c r="H117" s="101">
        <f t="shared" si="18"/>
        <v>104</v>
      </c>
      <c r="I117" s="101">
        <f t="shared" si="16"/>
        <v>145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72.72727272727273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4">
        <v>268.5</v>
      </c>
      <c r="C119" s="109">
        <v>491.6</v>
      </c>
      <c r="D119" s="99">
        <f>45.4+9.9+47+6.4+0.4+0.4+45.4+0.4+2.9+45.4+4+6.8+0.4+45.4+0.1+5.8+0.8+0.4</f>
        <v>267.30000000000007</v>
      </c>
      <c r="E119" s="100">
        <f>D119/D107*100</f>
        <v>0.14240779454918587</v>
      </c>
      <c r="F119" s="100">
        <f t="shared" si="17"/>
        <v>99.55307262569835</v>
      </c>
      <c r="G119" s="100">
        <f t="shared" si="14"/>
        <v>54.373474369406026</v>
      </c>
      <c r="H119" s="101">
        <f t="shared" si="18"/>
        <v>1.1999999999999318</v>
      </c>
      <c r="I119" s="101">
        <f t="shared" si="16"/>
        <v>224.29999999999995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84.9607182940516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4">
        <v>125</v>
      </c>
      <c r="C121" s="109">
        <v>317</v>
      </c>
      <c r="D121" s="99">
        <v>3.6</v>
      </c>
      <c r="E121" s="100">
        <f>D121/D107*100</f>
        <v>0.0019179500949385296</v>
      </c>
      <c r="F121" s="100">
        <f t="shared" si="17"/>
        <v>2.88</v>
      </c>
      <c r="G121" s="100">
        <f t="shared" si="14"/>
        <v>1.135646687697161</v>
      </c>
      <c r="H121" s="101">
        <f t="shared" si="18"/>
        <v>121.4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4">
        <f>480-268.6</f>
        <v>211.39999999999998</v>
      </c>
      <c r="C122" s="109">
        <f>480+80</f>
        <v>560</v>
      </c>
      <c r="D122" s="110">
        <f>12</f>
        <v>12</v>
      </c>
      <c r="E122" s="113">
        <f>D122/D107*100</f>
        <v>0.006393166983128432</v>
      </c>
      <c r="F122" s="100">
        <f t="shared" si="17"/>
        <v>5.676442762535478</v>
      </c>
      <c r="G122" s="100">
        <f t="shared" si="14"/>
        <v>2.142857142857143</v>
      </c>
      <c r="H122" s="101">
        <f t="shared" si="18"/>
        <v>199.39999999999998</v>
      </c>
      <c r="I122" s="101">
        <f t="shared" si="16"/>
        <v>548</v>
      </c>
      <c r="K122" s="154"/>
      <c r="L122" s="102"/>
    </row>
    <row r="123" spans="1:12" s="117" customFormat="1" ht="18.75" hidden="1">
      <c r="A123" s="103" t="s">
        <v>80</v>
      </c>
      <c r="B123" s="161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61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4">
        <f>24768.3+1268.6</f>
        <v>26036.899999999998</v>
      </c>
      <c r="C125" s="109">
        <v>45511.3</v>
      </c>
      <c r="D125" s="110">
        <f>3529.6+2264.3+1265.3+2996.5+533.1+738.7+2380.2+1722.3+1049.4+1874.1+1476.2+1455.5+94.4+1416+1268.6+1913.6</f>
        <v>25977.8</v>
      </c>
      <c r="E125" s="113">
        <f>D125/D107*100</f>
        <v>13.840034437859483</v>
      </c>
      <c r="F125" s="100">
        <f t="shared" si="17"/>
        <v>99.7730144525654</v>
      </c>
      <c r="G125" s="100">
        <f t="shared" si="14"/>
        <v>57.07989004928445</v>
      </c>
      <c r="H125" s="101">
        <f t="shared" si="18"/>
        <v>59.099999999998545</v>
      </c>
      <c r="I125" s="101">
        <f t="shared" si="16"/>
        <v>19533.500000000004</v>
      </c>
      <c r="K125" s="154"/>
      <c r="L125" s="102"/>
    </row>
    <row r="126" spans="1:12" s="114" customFormat="1" ht="18.75">
      <c r="A126" s="108" t="s">
        <v>91</v>
      </c>
      <c r="B126" s="164">
        <v>655</v>
      </c>
      <c r="C126" s="109">
        <v>700</v>
      </c>
      <c r="D126" s="110">
        <f>9.6+1.5</f>
        <v>11.1</v>
      </c>
      <c r="E126" s="113">
        <f>D126/D107*100</f>
        <v>0.0059136794593938</v>
      </c>
      <c r="F126" s="100">
        <f t="shared" si="17"/>
        <v>1.6946564885496185</v>
      </c>
      <c r="G126" s="100">
        <f t="shared" si="14"/>
        <v>1.5857142857142859</v>
      </c>
      <c r="H126" s="101">
        <f t="shared" si="18"/>
        <v>643.9</v>
      </c>
      <c r="I126" s="101">
        <f t="shared" si="16"/>
        <v>688.9</v>
      </c>
      <c r="K126" s="154"/>
      <c r="L126" s="102"/>
    </row>
    <row r="127" spans="1:12" s="114" customFormat="1" ht="37.5">
      <c r="A127" s="108" t="s">
        <v>100</v>
      </c>
      <c r="B127" s="164">
        <v>200</v>
      </c>
      <c r="C127" s="109">
        <v>200</v>
      </c>
      <c r="D127" s="110">
        <v>63.1</v>
      </c>
      <c r="E127" s="113">
        <f>D127/D107*100</f>
        <v>0.03361740305295034</v>
      </c>
      <c r="F127" s="100">
        <f t="shared" si="17"/>
        <v>31.55</v>
      </c>
      <c r="G127" s="100">
        <f t="shared" si="14"/>
        <v>31.55</v>
      </c>
      <c r="H127" s="101">
        <f t="shared" si="18"/>
        <v>136.9</v>
      </c>
      <c r="I127" s="101">
        <f t="shared" si="16"/>
        <v>136.9</v>
      </c>
      <c r="K127" s="154"/>
      <c r="L127" s="102"/>
    </row>
    <row r="128" spans="1:12" s="114" customFormat="1" ht="37.5">
      <c r="A128" s="108" t="s">
        <v>85</v>
      </c>
      <c r="B128" s="164">
        <v>74</v>
      </c>
      <c r="C128" s="109">
        <f>111.1</f>
        <v>111.1</v>
      </c>
      <c r="D128" s="110"/>
      <c r="E128" s="113">
        <f>D128/D107*100</f>
        <v>0</v>
      </c>
      <c r="F128" s="100">
        <f t="shared" si="17"/>
        <v>0</v>
      </c>
      <c r="G128" s="100">
        <f t="shared" si="14"/>
        <v>0</v>
      </c>
      <c r="H128" s="101">
        <f t="shared" si="18"/>
        <v>74</v>
      </c>
      <c r="I128" s="101">
        <f t="shared" si="16"/>
        <v>111.1</v>
      </c>
      <c r="K128" s="154"/>
      <c r="L128" s="102"/>
    </row>
    <row r="129" spans="1:12" s="114" customFormat="1" ht="18.75" hidden="1">
      <c r="A129" s="112" t="s">
        <v>83</v>
      </c>
      <c r="B129" s="162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4">
        <v>255.5</v>
      </c>
      <c r="C130" s="109">
        <v>942</v>
      </c>
      <c r="D130" s="110">
        <f>7+4.2+0.1+12.3+0.2+7.1+17.8+14.9+1.7+0.1+7.4+7+2.7+3.7+7.1+5.3+31.3+16.4+2.5+1.7+26.7+0.1+13.8+0.1+2.9+6.5+0.6+7+4.8+0.1+17.3+0.5+7.6-0.1</f>
        <v>238.4</v>
      </c>
      <c r="E130" s="113">
        <f>D130/D107*100</f>
        <v>0.12701091739815154</v>
      </c>
      <c r="F130" s="100">
        <f t="shared" si="17"/>
        <v>93.30724070450098</v>
      </c>
      <c r="G130" s="100">
        <f t="shared" si="14"/>
        <v>25.307855626326965</v>
      </c>
      <c r="H130" s="101">
        <f t="shared" si="18"/>
        <v>17.099999999999994</v>
      </c>
      <c r="I130" s="101">
        <f t="shared" si="16"/>
        <v>703.6</v>
      </c>
      <c r="K130" s="154"/>
      <c r="L130" s="102"/>
    </row>
    <row r="131" spans="1:12" s="115" customFormat="1" ht="18.75">
      <c r="A131" s="103" t="s">
        <v>88</v>
      </c>
      <c r="B131" s="104">
        <v>43.6</v>
      </c>
      <c r="C131" s="105">
        <v>510.8</v>
      </c>
      <c r="D131" s="106">
        <f>7+7.1+7+7.1+7+7</f>
        <v>42.2</v>
      </c>
      <c r="E131" s="107">
        <f>D131/D130*100</f>
        <v>17.701342281879196</v>
      </c>
      <c r="F131" s="107">
        <f>D131/B131*100</f>
        <v>96.78899082568807</v>
      </c>
      <c r="G131" s="107">
        <f t="shared" si="14"/>
        <v>8.261550509005481</v>
      </c>
      <c r="H131" s="105">
        <f t="shared" si="18"/>
        <v>1.3999999999999986</v>
      </c>
      <c r="I131" s="105">
        <f t="shared" si="16"/>
        <v>468.6</v>
      </c>
      <c r="K131" s="154"/>
      <c r="L131" s="102"/>
    </row>
    <row r="132" spans="1:12" s="114" customFormat="1" ht="37.5">
      <c r="A132" s="108" t="s">
        <v>103</v>
      </c>
      <c r="B132" s="164">
        <v>210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210</v>
      </c>
      <c r="I132" s="101">
        <f t="shared" si="16"/>
        <v>485</v>
      </c>
      <c r="K132" s="154"/>
      <c r="L132" s="102"/>
    </row>
    <row r="133" spans="1:12" s="115" customFormat="1" ht="18.75" hidden="1">
      <c r="A133" s="112" t="s">
        <v>43</v>
      </c>
      <c r="B133" s="161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2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2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4">
        <f>175-120</f>
        <v>55</v>
      </c>
      <c r="C136" s="109">
        <v>383.2</v>
      </c>
      <c r="D136" s="110">
        <f>2.9+1.5+9.7+8.2+0.2-0.4+16+13.6</f>
        <v>51.699999999999996</v>
      </c>
      <c r="E136" s="113">
        <f>D136/D107*100</f>
        <v>0.02754389441897833</v>
      </c>
      <c r="F136" s="100">
        <f t="shared" si="17"/>
        <v>94</v>
      </c>
      <c r="G136" s="100">
        <f t="shared" si="14"/>
        <v>13.491649269311065</v>
      </c>
      <c r="H136" s="101">
        <f t="shared" si="18"/>
        <v>3.3000000000000043</v>
      </c>
      <c r="I136" s="101">
        <f t="shared" si="16"/>
        <v>331.5</v>
      </c>
      <c r="K136" s="154"/>
      <c r="L136" s="102"/>
    </row>
    <row r="137" spans="1:12" s="114" customFormat="1" ht="39" customHeight="1">
      <c r="A137" s="108" t="s">
        <v>54</v>
      </c>
      <c r="B137" s="164">
        <v>120</v>
      </c>
      <c r="C137" s="109">
        <v>350</v>
      </c>
      <c r="D137" s="110">
        <f>3.7+1.9+30+0.6</f>
        <v>36.2</v>
      </c>
      <c r="E137" s="113">
        <f>D137/D107*100</f>
        <v>0.019286053732437438</v>
      </c>
      <c r="F137" s="100">
        <f t="shared" si="17"/>
        <v>30.166666666666668</v>
      </c>
      <c r="G137" s="100">
        <f t="shared" si="14"/>
        <v>10.342857142857143</v>
      </c>
      <c r="H137" s="101">
        <f t="shared" si="18"/>
        <v>83.8</v>
      </c>
      <c r="I137" s="101">
        <f t="shared" si="16"/>
        <v>313.8</v>
      </c>
      <c r="K137" s="154"/>
      <c r="L137" s="102"/>
    </row>
    <row r="138" spans="1:12" s="115" customFormat="1" ht="18.75">
      <c r="A138" s="103" t="s">
        <v>88</v>
      </c>
      <c r="B138" s="104">
        <v>38</v>
      </c>
      <c r="C138" s="105">
        <v>110</v>
      </c>
      <c r="D138" s="106">
        <f>3.7+1.9</f>
        <v>5.6</v>
      </c>
      <c r="E138" s="107"/>
      <c r="F138" s="100">
        <f>D138/B138*100</f>
        <v>14.736842105263156</v>
      </c>
      <c r="G138" s="107">
        <f>D138/C138*100</f>
        <v>5.09090909090909</v>
      </c>
      <c r="H138" s="105">
        <f>B138-D138</f>
        <v>32.4</v>
      </c>
      <c r="I138" s="105">
        <f>C138-D138</f>
        <v>104.4</v>
      </c>
      <c r="K138" s="154"/>
      <c r="L138" s="102"/>
    </row>
    <row r="139" spans="1:12" s="114" customFormat="1" ht="32.25" customHeight="1">
      <c r="A139" s="108" t="s">
        <v>84</v>
      </c>
      <c r="B139" s="164">
        <v>345.7</v>
      </c>
      <c r="C139" s="109">
        <v>607.7</v>
      </c>
      <c r="D139" s="110">
        <f>76+0.3+41+44+1.8+16.3+2.4+30+0.6+0.2+27.4+0.2+4.5-0.2+31.4+4.5</f>
        <v>280.40000000000003</v>
      </c>
      <c r="E139" s="113">
        <f>D139/D107*100</f>
        <v>0.14938700183910106</v>
      </c>
      <c r="F139" s="100">
        <f>D139/B139*100</f>
        <v>81.11078970205382</v>
      </c>
      <c r="G139" s="100">
        <f>D139/C139*100</f>
        <v>46.14118808622676</v>
      </c>
      <c r="H139" s="101">
        <f t="shared" si="18"/>
        <v>65.29999999999995</v>
      </c>
      <c r="I139" s="101">
        <f t="shared" si="16"/>
        <v>327.3</v>
      </c>
      <c r="K139" s="154"/>
      <c r="L139" s="102"/>
    </row>
    <row r="140" spans="1:12" s="115" customFormat="1" ht="18.75">
      <c r="A140" s="103" t="s">
        <v>25</v>
      </c>
      <c r="B140" s="104">
        <v>283.8</v>
      </c>
      <c r="C140" s="105">
        <v>489.6</v>
      </c>
      <c r="D140" s="106">
        <f>76+37.6+44+1.2+0.7+30+27.4+30.6</f>
        <v>247.49999999999997</v>
      </c>
      <c r="E140" s="107">
        <f>D140/D139*100</f>
        <v>88.26676176890155</v>
      </c>
      <c r="F140" s="107">
        <f t="shared" si="17"/>
        <v>87.20930232558139</v>
      </c>
      <c r="G140" s="107">
        <f>D140/C140*100</f>
        <v>50.55147058823528</v>
      </c>
      <c r="H140" s="105">
        <f t="shared" si="18"/>
        <v>36.30000000000004</v>
      </c>
      <c r="I140" s="105">
        <f t="shared" si="16"/>
        <v>242.10000000000005</v>
      </c>
      <c r="K140" s="154"/>
      <c r="L140" s="102"/>
    </row>
    <row r="141" spans="1:12" s="114" customFormat="1" ht="18.75">
      <c r="A141" s="108" t="s">
        <v>96</v>
      </c>
      <c r="B141" s="164">
        <v>892</v>
      </c>
      <c r="C141" s="109">
        <v>1760</v>
      </c>
      <c r="D141" s="110">
        <f>107.3+0.4+30.4+78.2+4.1+36.9+117.9+50.5+112.6+5.2+52.3+10.5+76.8-0.2+10.4+82.9+84</f>
        <v>860.1999999999999</v>
      </c>
      <c r="E141" s="113">
        <f>D141/D107*100</f>
        <v>0.45828351990725646</v>
      </c>
      <c r="F141" s="100">
        <f t="shared" si="17"/>
        <v>96.43497757847534</v>
      </c>
      <c r="G141" s="100">
        <f t="shared" si="14"/>
        <v>48.87499999999999</v>
      </c>
      <c r="H141" s="101">
        <f t="shared" si="18"/>
        <v>31.800000000000068</v>
      </c>
      <c r="I141" s="101">
        <f t="shared" si="16"/>
        <v>899.8000000000001</v>
      </c>
      <c r="K141" s="154"/>
      <c r="L141" s="102"/>
    </row>
    <row r="142" spans="1:12" s="115" customFormat="1" ht="18.75">
      <c r="A142" s="112" t="s">
        <v>43</v>
      </c>
      <c r="B142" s="104">
        <v>713.6</v>
      </c>
      <c r="C142" s="105">
        <v>1437.4</v>
      </c>
      <c r="D142" s="106">
        <f>107.3+25.4+76+34+76.6+47.2+83.8+4.5+35.4+76.8-0.2+60.7+81</f>
        <v>708.4999999999999</v>
      </c>
      <c r="E142" s="107">
        <f>D142/D141*100</f>
        <v>82.36456637991164</v>
      </c>
      <c r="F142" s="107">
        <f aca="true" t="shared" si="19" ref="F142:F151">D142/B142*100</f>
        <v>99.28531390134528</v>
      </c>
      <c r="G142" s="107">
        <f t="shared" si="14"/>
        <v>49.29038541811603</v>
      </c>
      <c r="H142" s="105">
        <f t="shared" si="18"/>
        <v>5.100000000000136</v>
      </c>
      <c r="I142" s="105">
        <f t="shared" si="16"/>
        <v>728.9000000000002</v>
      </c>
      <c r="K142" s="154"/>
      <c r="L142" s="102"/>
    </row>
    <row r="143" spans="1:13" s="115" customFormat="1" ht="18.75">
      <c r="A143" s="103" t="s">
        <v>25</v>
      </c>
      <c r="B143" s="104">
        <v>27.2</v>
      </c>
      <c r="C143" s="105">
        <v>40</v>
      </c>
      <c r="D143" s="106">
        <f>0.4+4.9+0.7+4.7+3.3+0.4+0.7+0.6+0.1</f>
        <v>15.799999999999999</v>
      </c>
      <c r="E143" s="107">
        <f>D143/D141*100</f>
        <v>1.8367821436875147</v>
      </c>
      <c r="F143" s="107">
        <f t="shared" si="19"/>
        <v>58.08823529411764</v>
      </c>
      <c r="G143" s="107">
        <f>D143/C143*100</f>
        <v>39.49999999999999</v>
      </c>
      <c r="H143" s="105">
        <f t="shared" si="18"/>
        <v>11.4</v>
      </c>
      <c r="I143" s="105">
        <f t="shared" si="16"/>
        <v>24.200000000000003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4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0.2847623127068456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8.75" hidden="1">
      <c r="A145" s="118" t="s">
        <v>92</v>
      </c>
      <c r="B145" s="162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8.75">
      <c r="A146" s="118" t="s">
        <v>97</v>
      </c>
      <c r="B146" s="164">
        <f>22821.5-1011+1000+2399+1817.8</f>
        <v>27027.3</v>
      </c>
      <c r="C146" s="109">
        <f>56447.1-100+1500-3000+10865.4</f>
        <v>65712.5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</f>
        <v>25104.600000000002</v>
      </c>
      <c r="E146" s="113">
        <f>D146/D107*100</f>
        <v>13.374824987053838</v>
      </c>
      <c r="F146" s="100">
        <f t="shared" si="19"/>
        <v>92.88608185057332</v>
      </c>
      <c r="G146" s="100">
        <f t="shared" si="14"/>
        <v>38.20369031767168</v>
      </c>
      <c r="H146" s="101">
        <f t="shared" si="18"/>
        <v>1922.699999999997</v>
      </c>
      <c r="I146" s="101">
        <f t="shared" si="16"/>
        <v>40607.899999999994</v>
      </c>
      <c r="K146" s="154"/>
      <c r="L146" s="102"/>
    </row>
    <row r="147" spans="1:12" s="114" customFormat="1" ht="18.75" hidden="1">
      <c r="A147" s="118" t="s">
        <v>86</v>
      </c>
      <c r="B147" s="162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7.5" hidden="1">
      <c r="A148" s="118" t="s">
        <v>104</v>
      </c>
      <c r="B148" s="162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8.75">
      <c r="A149" s="108" t="s">
        <v>98</v>
      </c>
      <c r="B149" s="164">
        <v>89.4</v>
      </c>
      <c r="C149" s="109">
        <v>162.3</v>
      </c>
      <c r="D149" s="110">
        <f>46.4+43</f>
        <v>89.4</v>
      </c>
      <c r="E149" s="113">
        <f>D149/D107*100</f>
        <v>0.047629094024306824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4">
        <v>6260.2</v>
      </c>
      <c r="C150" s="109">
        <f>10563.8+657.7</f>
        <v>11221.5</v>
      </c>
      <c r="D150" s="110">
        <f>791.9+575.3+777.6+830.9+722.1+47.7+657.7+821-47.6+744.9</f>
        <v>5921.499999999999</v>
      </c>
      <c r="E150" s="113">
        <f>D150/D107*100</f>
        <v>3.1547615242162506</v>
      </c>
      <c r="F150" s="100">
        <f t="shared" si="19"/>
        <v>94.58962972428995</v>
      </c>
      <c r="G150" s="100">
        <f t="shared" si="14"/>
        <v>52.76923762420353</v>
      </c>
      <c r="H150" s="101">
        <f t="shared" si="18"/>
        <v>338.7000000000007</v>
      </c>
      <c r="I150" s="101">
        <f t="shared" si="16"/>
        <v>5300.000000000001</v>
      </c>
      <c r="K150" s="154"/>
      <c r="L150" s="102"/>
    </row>
    <row r="151" spans="1:12" s="114" customFormat="1" ht="19.5" customHeight="1">
      <c r="A151" s="148" t="s">
        <v>50</v>
      </c>
      <c r="B151" s="166">
        <f>151473.2+1011+432.7+12+24.2-2399-1823.8</f>
        <v>148730.30000000005</v>
      </c>
      <c r="C151" s="149">
        <f>350771.5+40351.1-7680.2+12-588.3</f>
        <v>382866.1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</f>
        <v>105451.6</v>
      </c>
      <c r="E151" s="151">
        <f>D151/D107*100</f>
        <v>56.18080728650552</v>
      </c>
      <c r="F151" s="152">
        <f t="shared" si="19"/>
        <v>70.90122187610727</v>
      </c>
      <c r="G151" s="152">
        <f t="shared" si="14"/>
        <v>27.542683982729216</v>
      </c>
      <c r="H151" s="153">
        <f t="shared" si="18"/>
        <v>43278.70000000004</v>
      </c>
      <c r="I151" s="153">
        <f>C151-D151</f>
        <v>277414.5</v>
      </c>
      <c r="K151" s="154"/>
      <c r="L151" s="102"/>
    </row>
    <row r="152" spans="1:12" s="114" customFormat="1" ht="18.75">
      <c r="A152" s="108" t="s">
        <v>99</v>
      </c>
      <c r="B152" s="164">
        <v>21116.2</v>
      </c>
      <c r="C152" s="109">
        <v>42232</v>
      </c>
      <c r="D152" s="110">
        <f>819+819+819.1+1062.3+1173.1+1173.1+1173.2+1173.1+1173.1+1173.2+1173.1+1173.1+1173.2+1173.1+1173.1+1173.1+1173.1+1173.1</f>
        <v>19943.1</v>
      </c>
      <c r="E152" s="113">
        <f>D152/D107*100</f>
        <v>10.624964038435719</v>
      </c>
      <c r="F152" s="100">
        <f t="shared" si="17"/>
        <v>94.44454968223448</v>
      </c>
      <c r="G152" s="100">
        <f t="shared" si="14"/>
        <v>47.22272210645955</v>
      </c>
      <c r="H152" s="101">
        <f t="shared" si="18"/>
        <v>1173.1000000000022</v>
      </c>
      <c r="I152" s="101">
        <f t="shared" si="16"/>
        <v>22288.9</v>
      </c>
      <c r="K152" s="154"/>
      <c r="L152" s="102"/>
    </row>
    <row r="153" spans="1:12" s="2" customFormat="1" ht="19.5" thickBot="1">
      <c r="A153" s="29" t="s">
        <v>29</v>
      </c>
      <c r="B153" s="165"/>
      <c r="C153" s="64"/>
      <c r="D153" s="45">
        <f>D43+D69+D72+D77+D79+D87+D102+D107+D100+D84+D98</f>
        <v>195345.69999999998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1110041.4</v>
      </c>
      <c r="C154" s="41">
        <f>C6+C18+C33+C43+C51+C59+C69+C72+C77+C79+C87+C90+C95+C102+C107+C100+C84+C98+C45</f>
        <v>2166335.2999999993</v>
      </c>
      <c r="D154" s="41">
        <f>D6+D18+D33+D43+D51+D59+D69+D72+D77+D79+D87+D90+D95+D102+D107+D100+D84+D98+D45</f>
        <v>1004725.9999999999</v>
      </c>
      <c r="E154" s="28">
        <v>100</v>
      </c>
      <c r="F154" s="3">
        <f>D154/B154*100</f>
        <v>90.51247998498074</v>
      </c>
      <c r="G154" s="3">
        <f aca="true" t="shared" si="20" ref="G154:G160">D154/C154*100</f>
        <v>46.37906237321619</v>
      </c>
      <c r="H154" s="41">
        <f aca="true" t="shared" si="21" ref="H154:H160">B154-D154</f>
        <v>105315.40000000002</v>
      </c>
      <c r="I154" s="41">
        <f aca="true" t="shared" si="22" ref="I154:I160">C154-D154</f>
        <v>1161609.2999999993</v>
      </c>
      <c r="K154" s="180"/>
      <c r="L154" s="34"/>
    </row>
    <row r="155" spans="1:12" ht="18.75">
      <c r="A155" s="16" t="s">
        <v>5</v>
      </c>
      <c r="B155" s="52">
        <f>B8+B20+B34+B52+B60+B91+B115+B120+B46+B142+B133+B103</f>
        <v>509584</v>
      </c>
      <c r="C155" s="52">
        <f>C8+C20+C34+C52+C60+C91+C115+C120+C46+C142+C133+C103</f>
        <v>896180.8</v>
      </c>
      <c r="D155" s="52">
        <f>D8+D20+D34+D52+D60+D91+D115+D120+D46+D142+D133+D103</f>
        <v>491905.81000000006</v>
      </c>
      <c r="E155" s="6">
        <f>D155/D154*100</f>
        <v>48.959199821642926</v>
      </c>
      <c r="F155" s="6">
        <f aca="true" t="shared" si="23" ref="F155:F160">D155/B155*100</f>
        <v>96.53085850419167</v>
      </c>
      <c r="G155" s="6">
        <f t="shared" si="20"/>
        <v>54.88912616739837</v>
      </c>
      <c r="H155" s="53">
        <f t="shared" si="21"/>
        <v>17678.189999999944</v>
      </c>
      <c r="I155" s="63">
        <f t="shared" si="22"/>
        <v>404274.99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63920.59999999999</v>
      </c>
      <c r="C156" s="53">
        <f>C11+C23+C36+C55+C62+C92+C49+C143+C109+C112+C96+C140+C129</f>
        <v>110563.99999999999</v>
      </c>
      <c r="D156" s="53">
        <f>D11+D23+D36+D55+D62+D92+D49+D143+D109+D112+D96+D140+D129</f>
        <v>60887.39999999998</v>
      </c>
      <c r="E156" s="6">
        <f>D156/D154*100</f>
        <v>6.060099967553342</v>
      </c>
      <c r="F156" s="6">
        <f t="shared" si="23"/>
        <v>95.2547379092186</v>
      </c>
      <c r="G156" s="6">
        <f t="shared" si="20"/>
        <v>55.0698238124525</v>
      </c>
      <c r="H156" s="53">
        <f>B156-D156</f>
        <v>3033.2000000000116</v>
      </c>
      <c r="I156" s="63">
        <f t="shared" si="22"/>
        <v>49676.600000000006</v>
      </c>
      <c r="K156" s="154"/>
      <c r="L156" s="70"/>
    </row>
    <row r="157" spans="1:12" ht="18.75">
      <c r="A157" s="16" t="s">
        <v>1</v>
      </c>
      <c r="B157" s="52">
        <f>B22+B10+B54+B48+B61+B35+B124</f>
        <v>24626.999999999996</v>
      </c>
      <c r="C157" s="52">
        <f>C22+C10+C54+C48+C61+C35+C124</f>
        <v>45948.3</v>
      </c>
      <c r="D157" s="52">
        <f>D22+D10+D54+D48+D61+D35+D124</f>
        <v>15651.499999999995</v>
      </c>
      <c r="E157" s="6">
        <f>D157/D154*100</f>
        <v>1.5577878944110133</v>
      </c>
      <c r="F157" s="6">
        <f t="shared" si="23"/>
        <v>63.5542290981443</v>
      </c>
      <c r="G157" s="6">
        <f t="shared" si="20"/>
        <v>34.06328416938166</v>
      </c>
      <c r="H157" s="53">
        <f t="shared" si="21"/>
        <v>8975.500000000002</v>
      </c>
      <c r="I157" s="63">
        <f t="shared" si="22"/>
        <v>30296.80000000001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16083.800000000001</v>
      </c>
      <c r="C158" s="52">
        <f>C12+C24+C104+C63+C38+C93+C131+C56+C138+C118</f>
        <v>30229.899999999998</v>
      </c>
      <c r="D158" s="52">
        <f>D12+D24+D104+D63+D38+D93+D131+D56+D138+D118</f>
        <v>13621.2</v>
      </c>
      <c r="E158" s="6">
        <f>D158/D154*100</f>
        <v>1.3557129008306745</v>
      </c>
      <c r="F158" s="6">
        <f t="shared" si="23"/>
        <v>84.68894166801377</v>
      </c>
      <c r="G158" s="6">
        <f t="shared" si="20"/>
        <v>45.058700161098784</v>
      </c>
      <c r="H158" s="53">
        <f>B158-D158</f>
        <v>2462.6000000000004</v>
      </c>
      <c r="I158" s="63">
        <f t="shared" si="22"/>
        <v>16608.699999999997</v>
      </c>
      <c r="K158" s="154"/>
      <c r="L158" s="70"/>
    </row>
    <row r="159" spans="1:12" ht="18.75">
      <c r="A159" s="16" t="s">
        <v>2</v>
      </c>
      <c r="B159" s="52">
        <f>B9+B21+B47+B53+B123</f>
        <v>31.6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0.0021199809699360824</v>
      </c>
      <c r="F159" s="6">
        <f t="shared" si="23"/>
        <v>67.40506329113924</v>
      </c>
      <c r="G159" s="6">
        <f t="shared" si="20"/>
        <v>18.83289124668435</v>
      </c>
      <c r="H159" s="53">
        <f t="shared" si="21"/>
        <v>10.3</v>
      </c>
      <c r="I159" s="63">
        <f t="shared" si="22"/>
        <v>91.80000000000001</v>
      </c>
      <c r="K159" s="154"/>
      <c r="L159" s="34"/>
    </row>
    <row r="160" spans="1:12" ht="19.5" thickBot="1">
      <c r="A160" s="89" t="s">
        <v>27</v>
      </c>
      <c r="B160" s="65">
        <f>B154-B155-B156-B157-B158-B159</f>
        <v>495794.39999999997</v>
      </c>
      <c r="C160" s="65">
        <f>C154-C155-C156-C157-C158-C159</f>
        <v>1083299.1999999993</v>
      </c>
      <c r="D160" s="65">
        <f>D154-D155-D156-D157-D158-D159</f>
        <v>422638.78999999986</v>
      </c>
      <c r="E160" s="31">
        <f>D160/D154*100</f>
        <v>42.06507943459211</v>
      </c>
      <c r="F160" s="31">
        <f t="shared" si="23"/>
        <v>85.24476879932486</v>
      </c>
      <c r="G160" s="31">
        <f t="shared" si="20"/>
        <v>39.014040627003155</v>
      </c>
      <c r="H160" s="90">
        <f t="shared" si="21"/>
        <v>73155.6100000001</v>
      </c>
      <c r="I160" s="90">
        <f t="shared" si="22"/>
        <v>660660.4099999995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8"/>
      <c r="C166" s="159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1004725.9999999999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1004725.9999999999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2018-06-26T10:44:48Z</cp:lastPrinted>
  <dcterms:created xsi:type="dcterms:W3CDTF">2000-06-20T04:48:00Z</dcterms:created>
  <dcterms:modified xsi:type="dcterms:W3CDTF">2018-06-27T08:47:13Z</dcterms:modified>
  <cp:category/>
  <cp:version/>
  <cp:contentType/>
  <cp:contentStatus/>
</cp:coreProperties>
</file>